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<sst xmlns="http://schemas.openxmlformats.org/spreadsheetml/2006/main" count="94" uniqueCount="67">
  <si>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Module parameters</t>
  </si>
  <si>
    <t>Main linac</t>
  </si>
  <si>
    <t>number</t>
  </si>
  <si>
    <t>Standard module</t>
  </si>
  <si>
    <t>parameters of 9-2005</t>
  </si>
  <si>
    <t>accelerating structure interconnection including cutoff pipe</t>
  </si>
  <si>
    <t>BPM(s) from damping waveguides</t>
  </si>
  <si>
    <t>BPM(s) from structure damping waveguides</t>
  </si>
  <si>
    <t>Drive linac</t>
  </si>
  <si>
    <t>quadrupole flange to flange</t>
  </si>
  <si>
    <t>radial play for alignment</t>
  </si>
  <si>
    <t>Other parameters</t>
  </si>
  <si>
    <t>rf parameters</t>
  </si>
  <si>
    <t>accelerating structure input power</t>
  </si>
  <si>
    <t>MW</t>
  </si>
  <si>
    <t>waveguide attenuation</t>
  </si>
  <si>
    <t>PETS output power</t>
  </si>
  <si>
    <t>Tesla</t>
  </si>
  <si>
    <t>Transverse dimensions inside quadrupoles</t>
  </si>
  <si>
    <t>filling factor</t>
  </si>
  <si>
    <t>Longitudinal dimensions and quantities</t>
  </si>
  <si>
    <t>Accelerating structures per PETS</t>
  </si>
  <si>
    <t>quadrupole active length</t>
  </si>
  <si>
    <t>Maximum drive beam energy</t>
  </si>
  <si>
    <t>GeV</t>
  </si>
  <si>
    <t>mm</t>
  </si>
  <si>
    <t>unit length [mm]</t>
  </si>
  <si>
    <t>total length [mm]</t>
  </si>
  <si>
    <t>beam pipe inner radius</t>
  </si>
  <si>
    <t>beam pipe thickness</t>
  </si>
  <si>
    <t>quadrupole inner radius</t>
  </si>
  <si>
    <t>Values derived on this spreadsheet</t>
  </si>
  <si>
    <t>end of active quadrupole length to flange face</t>
  </si>
  <si>
    <t>Periods per girder</t>
  </si>
  <si>
    <t>girder</t>
  </si>
  <si>
    <t>inter girder connection</t>
  </si>
  <si>
    <t>Target support-girder length</t>
  </si>
  <si>
    <t>Drive linac quadrupole pole-tip field</t>
  </si>
  <si>
    <t>Main linac quadrupole pole-tip field</t>
  </si>
  <si>
    <t>gradient</t>
  </si>
  <si>
    <t>Tesla/meter</t>
  </si>
  <si>
    <t>separate BPMs fixed to quadrupoles</t>
  </si>
  <si>
    <t>separate BPMs fixed to accelerating structures</t>
  </si>
  <si>
    <t>separate BPMs fixed to PETS</t>
  </si>
  <si>
    <t>PETS effective active length</t>
  </si>
  <si>
    <t>separate BPMs related to quadrupoles</t>
  </si>
  <si>
    <t>quad active length for n accelerating sections removed</t>
  </si>
  <si>
    <t>Drive beam current</t>
  </si>
  <si>
    <t>A</t>
  </si>
  <si>
    <r>
      <t xml:space="preserve">PETS </t>
    </r>
    <r>
      <rPr>
        <i/>
        <sz val="10"/>
        <rFont val="Arial"/>
        <family val="2"/>
      </rPr>
      <t>vg/c</t>
    </r>
  </si>
  <si>
    <r>
      <t>PETS</t>
    </r>
    <r>
      <rPr>
        <i/>
        <sz val="10"/>
        <rFont val="Arial"/>
        <family val="2"/>
      </rPr>
      <t xml:space="preserve"> R'/Q</t>
    </r>
  </si>
  <si>
    <t>Ω/m</t>
  </si>
  <si>
    <t>Drive bunch length power form factor</t>
  </si>
  <si>
    <t>beam pipe thickness including stiffening and pumping if necessary</t>
  </si>
  <si>
    <t>new parameters</t>
  </si>
  <si>
    <t>PETS length flange to flange</t>
  </si>
  <si>
    <t>Input flange face to beginning of active length</t>
  </si>
  <si>
    <t>End of active length to end of coupler</t>
  </si>
  <si>
    <t>End of coupler to flange face</t>
  </si>
  <si>
    <t>Drive beam power</t>
  </si>
  <si>
    <t>GW</t>
  </si>
  <si>
    <t>Number of periods per drive linac</t>
  </si>
  <si>
    <t>Acceleration per drive linac</t>
  </si>
  <si>
    <t>Number of sectors</t>
  </si>
  <si>
    <t>Accelerating structure length including couplers</t>
  </si>
  <si>
    <t>active length</t>
  </si>
  <si>
    <t xml:space="preserve">intergirder PETS /quadrupole interconnection 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</si>
</sst>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wrapText="1"/>
    </xf>
    <xf numFmtId="2" fontId="0" fillId="2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 topLeftCell="A35">
      <selection activeCell="J8" sqref="J8"/>
    </sheetView>
  </sheetViews>
  <sheetFormatPr defaultColWidth="9.140625" defaultRowHeight="12.75"/>
  <cols>
    <col min="1" max="3" width="3.00390625" style="0" customWidth="1"/>
    <col min="4" max="4" width="55.140625" style="0" customWidth="1"/>
    <col min="5" max="7" width="10.00390625" style="0" customWidth="1"/>
    <col min="9" max="11" width="10.00390625" style="0" customWidth="1"/>
  </cols>
  <sheetData>
    <row r="1" spans="1:11" ht="12.75">
      <c r="A1" t="s">
        <v>0</v>
      </c>
      <c r="E1" s="21" t="s">
        <v>4</v>
      </c>
      <c r="F1" s="22"/>
      <c r="G1" s="23"/>
      <c r="I1" s="21" t="s">
        <v>54</v>
      </c>
      <c r="J1" s="22"/>
      <c r="K1" s="23"/>
    </row>
    <row r="2" spans="1:11" ht="65.25" customHeight="1">
      <c r="A2" t="s">
        <v>20</v>
      </c>
      <c r="E2" s="15" t="s">
        <v>2</v>
      </c>
      <c r="F2" s="15" t="s">
        <v>26</v>
      </c>
      <c r="G2" s="15" t="s">
        <v>27</v>
      </c>
      <c r="H2" s="16"/>
      <c r="I2" s="15" t="s">
        <v>2</v>
      </c>
      <c r="J2" s="15" t="s">
        <v>26</v>
      </c>
      <c r="K2" s="15" t="s">
        <v>27</v>
      </c>
    </row>
    <row r="3" spans="2:11" ht="12.75">
      <c r="B3" t="s">
        <v>33</v>
      </c>
      <c r="E3" s="15"/>
      <c r="F3" s="15"/>
      <c r="G3" s="15"/>
      <c r="H3" s="16"/>
      <c r="I3" s="20">
        <f>INT(I60/(J6*I59))</f>
        <v>2</v>
      </c>
      <c r="K3" s="15"/>
    </row>
    <row r="4" ht="12.75">
      <c r="B4" t="s">
        <v>1</v>
      </c>
    </row>
    <row r="5" ht="12.75">
      <c r="C5" t="s">
        <v>3</v>
      </c>
    </row>
    <row r="6" spans="4:10" ht="12.75">
      <c r="D6" t="s">
        <v>64</v>
      </c>
      <c r="E6">
        <v>8</v>
      </c>
      <c r="F6" s="1">
        <f>1.66635*137+0.32+2*2.5+2*2</f>
        <v>237.60995</v>
      </c>
      <c r="I6" s="14">
        <f>I3*I59</f>
        <v>8</v>
      </c>
      <c r="J6" s="1">
        <v>237.6</v>
      </c>
    </row>
    <row r="7" spans="4:10" ht="12.75">
      <c r="D7" t="s">
        <v>65</v>
      </c>
      <c r="F7" s="1"/>
      <c r="I7" s="11"/>
      <c r="J7" s="1">
        <v>230</v>
      </c>
    </row>
    <row r="8" spans="4:10" ht="12.75">
      <c r="D8" s="3" t="s">
        <v>5</v>
      </c>
      <c r="E8" s="4">
        <v>7</v>
      </c>
      <c r="F8" s="5">
        <v>5</v>
      </c>
      <c r="I8" s="19">
        <f>I6-1</f>
        <v>7</v>
      </c>
      <c r="J8" s="24">
        <v>10</v>
      </c>
    </row>
    <row r="9" spans="4:10" ht="12.75">
      <c r="D9" s="3" t="s">
        <v>35</v>
      </c>
      <c r="E9" s="4">
        <v>1</v>
      </c>
      <c r="F9" s="5">
        <v>60</v>
      </c>
      <c r="I9" s="4">
        <v>1</v>
      </c>
      <c r="J9" s="24">
        <v>30</v>
      </c>
    </row>
    <row r="10" spans="4:10" ht="12.75">
      <c r="D10" s="3" t="s">
        <v>7</v>
      </c>
      <c r="E10" s="4">
        <v>8</v>
      </c>
      <c r="F10" s="5">
        <v>0</v>
      </c>
      <c r="G10" s="11"/>
      <c r="I10" s="19">
        <f>I6</f>
        <v>8</v>
      </c>
      <c r="J10" s="5">
        <v>0</v>
      </c>
    </row>
    <row r="11" spans="4:10" ht="12.75">
      <c r="D11" s="3" t="s">
        <v>42</v>
      </c>
      <c r="E11" s="4">
        <v>0</v>
      </c>
      <c r="F11" s="5">
        <v>0</v>
      </c>
      <c r="G11" s="11"/>
      <c r="I11" s="18">
        <v>0</v>
      </c>
      <c r="J11" s="5">
        <v>0</v>
      </c>
    </row>
    <row r="12" spans="4:11" ht="12.75">
      <c r="D12" s="3"/>
      <c r="E12" s="4"/>
      <c r="F12" s="5"/>
      <c r="G12" s="13">
        <f>E6*F6+E8*F8+E9*F9+E10*F10+E15*F15</f>
        <v>1995.8796</v>
      </c>
      <c r="I12" s="4"/>
      <c r="J12" s="5" t="s">
        <v>34</v>
      </c>
      <c r="K12" s="13">
        <f>I6*J6+I8*J8+I9*J9+I10*J10+I11*J11</f>
        <v>2000.8</v>
      </c>
    </row>
    <row r="13" spans="4:11" ht="12.75">
      <c r="D13" s="3"/>
      <c r="E13" s="4"/>
      <c r="F13" t="s">
        <v>19</v>
      </c>
      <c r="G13" s="17">
        <f>E6*F6/G12</f>
        <v>0.9524019384736434</v>
      </c>
      <c r="I13" s="4"/>
      <c r="J13" t="s">
        <v>19</v>
      </c>
      <c r="K13" s="17">
        <f>I6*J7/K12</f>
        <v>0.9196321471411436</v>
      </c>
    </row>
    <row r="14" spans="4:11" ht="12.75">
      <c r="D14" t="s">
        <v>32</v>
      </c>
      <c r="E14" s="4"/>
      <c r="G14" s="10"/>
      <c r="H14" s="11"/>
      <c r="I14" s="18">
        <v>2</v>
      </c>
      <c r="J14" s="24">
        <v>10</v>
      </c>
      <c r="K14" s="10"/>
    </row>
    <row r="15" spans="4:11" ht="12.75">
      <c r="D15" s="3" t="s">
        <v>45</v>
      </c>
      <c r="E15" s="4">
        <v>0</v>
      </c>
      <c r="F15" s="5">
        <v>0</v>
      </c>
      <c r="G15" s="11"/>
      <c r="I15" s="4">
        <v>1</v>
      </c>
      <c r="J15" s="5">
        <v>50</v>
      </c>
      <c r="K15" s="10"/>
    </row>
    <row r="16" spans="4:11" ht="12.75">
      <c r="D16" s="3" t="s">
        <v>46</v>
      </c>
      <c r="E16" s="4"/>
      <c r="G16" s="10"/>
      <c r="H16" s="11"/>
      <c r="I16" s="18">
        <v>1</v>
      </c>
      <c r="J16" s="14">
        <f>I16*($J$6+$J$8)-$I$14*$J$14-$J$15</f>
        <v>177.6</v>
      </c>
      <c r="K16" s="10"/>
    </row>
    <row r="17" spans="4:11" ht="12.75">
      <c r="D17" s="3"/>
      <c r="E17" s="4"/>
      <c r="G17" s="10"/>
      <c r="H17" s="11"/>
      <c r="I17" s="18">
        <v>2</v>
      </c>
      <c r="J17" s="14">
        <f>I17*($J$6+$J$8)-$I$14*$J$14-$J$15</f>
        <v>425.2</v>
      </c>
      <c r="K17" s="10"/>
    </row>
    <row r="18" spans="4:11" ht="12.75">
      <c r="D18" s="3"/>
      <c r="E18" s="4"/>
      <c r="G18" s="10"/>
      <c r="H18" s="11"/>
      <c r="I18" s="18">
        <v>3</v>
      </c>
      <c r="J18" s="14">
        <f>I18*($J$6+$J$8)-$I$14*$J$14-$J$15</f>
        <v>672.8</v>
      </c>
      <c r="K18" s="10"/>
    </row>
    <row r="19" spans="4:11" ht="12.75">
      <c r="D19" s="3"/>
      <c r="E19" s="4"/>
      <c r="G19" s="10"/>
      <c r="H19" s="11"/>
      <c r="I19" s="18">
        <v>4</v>
      </c>
      <c r="J19" s="14">
        <f>I19*($J$6+$J$8)+$J$9-$I$14*$J$14-$J$15</f>
        <v>950.4</v>
      </c>
      <c r="K19" s="10"/>
    </row>
    <row r="20" spans="4:11" ht="12.75">
      <c r="D20" s="3"/>
      <c r="E20" s="4"/>
      <c r="G20" s="10"/>
      <c r="H20" s="11"/>
      <c r="I20" s="18">
        <v>5</v>
      </c>
      <c r="J20" s="14">
        <f>I20*($J$6+$J$8)+$J$9-$I$14*$J$14-$J$15</f>
        <v>1198</v>
      </c>
      <c r="K20" s="10"/>
    </row>
    <row r="21" spans="4:11" ht="12.75">
      <c r="D21" s="3"/>
      <c r="E21" s="4"/>
      <c r="G21" s="10"/>
      <c r="H21" s="11"/>
      <c r="I21" s="18">
        <v>6</v>
      </c>
      <c r="J21" s="14">
        <f>I21*($J$6+$J$8)+$J$9-$I$14*$J$14-$J$15</f>
        <v>1445.6</v>
      </c>
      <c r="K21" s="10"/>
    </row>
    <row r="22" spans="4:11" ht="12.75">
      <c r="D22" s="3"/>
      <c r="E22" s="4"/>
      <c r="G22" s="10"/>
      <c r="H22" s="11"/>
      <c r="I22" s="18">
        <v>7</v>
      </c>
      <c r="J22" s="14">
        <f>I22*($J$6+$J$8)+$J$9-$I$14*$J$14-$J$15</f>
        <v>1693.2</v>
      </c>
      <c r="K22" s="10"/>
    </row>
    <row r="23" spans="4:11" ht="12.75">
      <c r="D23" s="3"/>
      <c r="E23" s="4"/>
      <c r="G23" s="10"/>
      <c r="H23" s="11"/>
      <c r="I23" s="18">
        <v>8</v>
      </c>
      <c r="J23" s="14">
        <f>I23*($J$6+$J$8)+$J$9-$I$14*$J$14-$J$15</f>
        <v>1940.8</v>
      </c>
      <c r="K23" s="10"/>
    </row>
    <row r="24" spans="2:5" ht="12.75">
      <c r="B24" t="s">
        <v>8</v>
      </c>
      <c r="E24" s="2"/>
    </row>
    <row r="25" spans="3:7" ht="12.75">
      <c r="C25" t="s">
        <v>3</v>
      </c>
      <c r="E25" s="2"/>
      <c r="F25" s="1"/>
      <c r="G25" s="11"/>
    </row>
    <row r="26" spans="4:10" ht="12.75">
      <c r="D26" t="s">
        <v>55</v>
      </c>
      <c r="E26" s="4">
        <v>2</v>
      </c>
      <c r="F26" s="5">
        <v>770</v>
      </c>
      <c r="G26" s="11"/>
      <c r="I26" s="19">
        <f>I3</f>
        <v>2</v>
      </c>
      <c r="J26" s="6">
        <f>(K12-(I33*J33+I34*J34+I35*J35+I36*J36+I37*J37))/2</f>
        <v>859.2322843939347</v>
      </c>
    </row>
    <row r="27" spans="4:10" ht="12.75">
      <c r="D27" t="s">
        <v>56</v>
      </c>
      <c r="E27" s="4"/>
      <c r="F27" s="5"/>
      <c r="G27" s="11"/>
      <c r="I27" s="18">
        <v>1</v>
      </c>
      <c r="J27" s="24">
        <v>37</v>
      </c>
    </row>
    <row r="28" spans="4:10" ht="12.75">
      <c r="D28" t="s">
        <v>57</v>
      </c>
      <c r="E28" s="4"/>
      <c r="F28" s="5"/>
      <c r="G28" s="11"/>
      <c r="I28" s="18">
        <v>1</v>
      </c>
      <c r="J28" s="24">
        <f>62.33+61.18</f>
        <v>123.50999999999999</v>
      </c>
    </row>
    <row r="29" spans="4:10" ht="12.75">
      <c r="D29" t="s">
        <v>58</v>
      </c>
      <c r="E29" s="4"/>
      <c r="F29" s="5"/>
      <c r="G29" s="11"/>
      <c r="I29" s="18">
        <v>1</v>
      </c>
      <c r="J29" s="24">
        <v>15</v>
      </c>
    </row>
    <row r="30" spans="4:10" ht="12.75">
      <c r="D30" t="s">
        <v>44</v>
      </c>
      <c r="E30" s="4"/>
      <c r="F30" s="5"/>
      <c r="G30" s="11"/>
      <c r="I30" s="18"/>
      <c r="J30" s="6">
        <f>J26-(J27+J28+J29)</f>
        <v>683.7222843939347</v>
      </c>
    </row>
    <row r="31" spans="4:10" ht="12.75">
      <c r="D31" t="s">
        <v>22</v>
      </c>
      <c r="E31" s="4"/>
      <c r="F31" s="5"/>
      <c r="G31" s="11"/>
      <c r="I31" s="4"/>
      <c r="J31" s="6">
        <f>I50*(1.115/1.3)*(2/K12)*I61*(I63/0.3)*1.1*1000</f>
        <v>106.16771560606527</v>
      </c>
    </row>
    <row r="32" spans="4:10" ht="12.75">
      <c r="D32" t="s">
        <v>32</v>
      </c>
      <c r="E32" s="4"/>
      <c r="F32" s="5"/>
      <c r="G32" s="11"/>
      <c r="I32" s="4">
        <v>2</v>
      </c>
      <c r="J32" s="24">
        <v>10</v>
      </c>
    </row>
    <row r="33" spans="4:10" ht="12.75">
      <c r="D33" t="s">
        <v>9</v>
      </c>
      <c r="E33" s="4">
        <v>2</v>
      </c>
      <c r="F33" s="5">
        <v>200</v>
      </c>
      <c r="G33" s="11"/>
      <c r="I33" s="19">
        <f>I26</f>
        <v>2</v>
      </c>
      <c r="J33" s="6">
        <f>J31+I32*J32</f>
        <v>126.16771560606527</v>
      </c>
    </row>
    <row r="34" spans="4:10" ht="12.75">
      <c r="D34" t="s">
        <v>66</v>
      </c>
      <c r="E34" s="4">
        <v>2</v>
      </c>
      <c r="F34" s="5">
        <v>30</v>
      </c>
      <c r="G34" s="11"/>
      <c r="I34" s="18">
        <v>1</v>
      </c>
      <c r="J34" s="24">
        <v>30</v>
      </c>
    </row>
    <row r="35" spans="4:10" ht="12.75">
      <c r="D35" t="s">
        <v>6</v>
      </c>
      <c r="E35" s="4">
        <v>1</v>
      </c>
      <c r="F35" s="5">
        <v>0</v>
      </c>
      <c r="G35" s="11"/>
      <c r="I35" s="4">
        <v>1</v>
      </c>
      <c r="J35" s="5">
        <v>0</v>
      </c>
    </row>
    <row r="36" spans="4:10" ht="12.75">
      <c r="D36" s="3" t="s">
        <v>43</v>
      </c>
      <c r="E36" s="4">
        <v>0</v>
      </c>
      <c r="F36" s="5">
        <v>0</v>
      </c>
      <c r="G36" s="11"/>
      <c r="I36" s="4">
        <v>0</v>
      </c>
      <c r="J36" s="5">
        <v>0</v>
      </c>
    </row>
    <row r="37" spans="4:10" ht="12.75">
      <c r="D37" s="3" t="s">
        <v>41</v>
      </c>
      <c r="E37" s="4">
        <v>0</v>
      </c>
      <c r="F37" s="5">
        <v>0</v>
      </c>
      <c r="G37" s="11"/>
      <c r="I37" s="4">
        <v>0</v>
      </c>
      <c r="J37" s="5">
        <v>0</v>
      </c>
    </row>
    <row r="38" spans="5:11" ht="12.75">
      <c r="E38" s="4"/>
      <c r="F38" s="5"/>
      <c r="G38" s="13">
        <f>E26*F26+E33*F33+E34*F34+E35*F35+E37*F37</f>
        <v>2000</v>
      </c>
      <c r="K38" s="12"/>
    </row>
    <row r="39" spans="1:7" ht="12.75">
      <c r="A39" t="s">
        <v>18</v>
      </c>
      <c r="G39" s="11"/>
    </row>
    <row r="40" spans="2:7" ht="12.75">
      <c r="B40" t="s">
        <v>1</v>
      </c>
      <c r="G40" s="11"/>
    </row>
    <row r="41" spans="4:10" ht="12.75">
      <c r="D41" t="s">
        <v>28</v>
      </c>
      <c r="G41" s="11"/>
      <c r="I41">
        <v>2</v>
      </c>
      <c r="J41" t="s">
        <v>25</v>
      </c>
    </row>
    <row r="42" spans="4:10" ht="12.75">
      <c r="D42" t="s">
        <v>53</v>
      </c>
      <c r="I42" s="11">
        <v>1</v>
      </c>
      <c r="J42" t="s">
        <v>25</v>
      </c>
    </row>
    <row r="43" spans="4:10" ht="12.75">
      <c r="D43" t="s">
        <v>10</v>
      </c>
      <c r="I43" s="11">
        <v>2</v>
      </c>
      <c r="J43" t="s">
        <v>25</v>
      </c>
    </row>
    <row r="44" spans="4:10" ht="12.75">
      <c r="D44" t="s">
        <v>30</v>
      </c>
      <c r="I44" s="14">
        <f>SUM(I41:I43)</f>
        <v>5</v>
      </c>
      <c r="J44" t="s">
        <v>25</v>
      </c>
    </row>
    <row r="45" spans="4:10" ht="12.75">
      <c r="D45" t="s">
        <v>39</v>
      </c>
      <c r="I45" s="14">
        <f>I62*1000/I44</f>
        <v>200</v>
      </c>
      <c r="J45" t="s">
        <v>40</v>
      </c>
    </row>
    <row r="46" ht="12.75">
      <c r="B46" t="s">
        <v>8</v>
      </c>
    </row>
    <row r="47" spans="4:10" ht="12.75">
      <c r="D47" t="s">
        <v>28</v>
      </c>
      <c r="I47">
        <v>11.25</v>
      </c>
      <c r="J47" t="s">
        <v>25</v>
      </c>
    </row>
    <row r="48" spans="4:10" ht="12.75">
      <c r="D48" t="s">
        <v>29</v>
      </c>
      <c r="I48">
        <v>1</v>
      </c>
      <c r="J48" t="s">
        <v>25</v>
      </c>
    </row>
    <row r="49" spans="4:10" ht="12.75">
      <c r="D49" t="s">
        <v>10</v>
      </c>
      <c r="I49" s="11">
        <v>2</v>
      </c>
      <c r="J49" t="s">
        <v>25</v>
      </c>
    </row>
    <row r="50" spans="4:10" ht="12.75">
      <c r="D50" t="s">
        <v>30</v>
      </c>
      <c r="E50" s="11"/>
      <c r="I50" s="14">
        <f>SUM(I47:I49)</f>
        <v>14.25</v>
      </c>
      <c r="J50" t="s">
        <v>25</v>
      </c>
    </row>
    <row r="51" ht="12.75">
      <c r="A51" t="s">
        <v>12</v>
      </c>
    </row>
    <row r="52" spans="2:10" ht="12.75">
      <c r="B52" t="s">
        <v>13</v>
      </c>
      <c r="E52">
        <v>149</v>
      </c>
      <c r="F52" t="s">
        <v>14</v>
      </c>
      <c r="I52">
        <v>149</v>
      </c>
      <c r="J52" t="s">
        <v>14</v>
      </c>
    </row>
    <row r="53" spans="2:9" ht="12.75">
      <c r="B53" t="s">
        <v>15</v>
      </c>
      <c r="E53">
        <v>0.95</v>
      </c>
      <c r="I53">
        <v>0.95</v>
      </c>
    </row>
    <row r="54" spans="2:10" ht="12.75">
      <c r="B54" t="s">
        <v>16</v>
      </c>
      <c r="E54" s="9">
        <f>E52*E59/E53</f>
        <v>627.3684210526316</v>
      </c>
      <c r="F54" t="s">
        <v>14</v>
      </c>
      <c r="I54" s="9">
        <f>I52*I59/I53</f>
        <v>627.3684210526316</v>
      </c>
      <c r="J54" t="s">
        <v>14</v>
      </c>
    </row>
    <row r="55" spans="2:9" ht="12.75">
      <c r="B55" t="s">
        <v>49</v>
      </c>
      <c r="E55" s="26"/>
      <c r="F55" s="11"/>
      <c r="G55" s="11"/>
      <c r="H55" s="11"/>
      <c r="I55" s="27">
        <v>0.798</v>
      </c>
    </row>
    <row r="56" spans="2:10" ht="12.75">
      <c r="B56" t="s">
        <v>50</v>
      </c>
      <c r="E56" s="26"/>
      <c r="F56" s="11"/>
      <c r="G56" s="11"/>
      <c r="H56" s="11"/>
      <c r="I56" s="26">
        <v>320</v>
      </c>
      <c r="J56" t="s">
        <v>51</v>
      </c>
    </row>
    <row r="57" spans="5:9" ht="12.75">
      <c r="E57" s="26"/>
      <c r="F57" s="11"/>
      <c r="G57" s="11"/>
      <c r="H57" s="11"/>
      <c r="I57" s="26"/>
    </row>
    <row r="58" ht="12.75">
      <c r="A58" t="s">
        <v>11</v>
      </c>
    </row>
    <row r="59" spans="2:9" ht="12.75">
      <c r="B59" t="s">
        <v>21</v>
      </c>
      <c r="E59">
        <v>4</v>
      </c>
      <c r="I59">
        <v>4</v>
      </c>
    </row>
    <row r="60" spans="2:10" ht="12.75">
      <c r="B60" t="s">
        <v>36</v>
      </c>
      <c r="E60">
        <v>2000</v>
      </c>
      <c r="F60" t="s">
        <v>25</v>
      </c>
      <c r="I60">
        <v>2000</v>
      </c>
      <c r="J60" t="s">
        <v>25</v>
      </c>
    </row>
    <row r="61" spans="2:10" ht="12.75">
      <c r="B61" t="s">
        <v>37</v>
      </c>
      <c r="E61">
        <v>1</v>
      </c>
      <c r="F61" t="s">
        <v>17</v>
      </c>
      <c r="I61">
        <v>1</v>
      </c>
      <c r="J61" t="s">
        <v>17</v>
      </c>
    </row>
    <row r="62" spans="2:10" ht="12.75">
      <c r="B62" t="s">
        <v>38</v>
      </c>
      <c r="I62">
        <v>1</v>
      </c>
      <c r="J62" t="s">
        <v>17</v>
      </c>
    </row>
    <row r="63" spans="2:10" ht="12.75">
      <c r="B63" t="s">
        <v>23</v>
      </c>
      <c r="E63">
        <v>2.2</v>
      </c>
      <c r="F63" t="s">
        <v>24</v>
      </c>
      <c r="I63">
        <v>2.37</v>
      </c>
      <c r="J63" t="s">
        <v>24</v>
      </c>
    </row>
    <row r="64" spans="2:10" ht="12.75">
      <c r="B64" t="s">
        <v>47</v>
      </c>
      <c r="I64" s="9">
        <f>SQRT((I54*10^6*2*I55)/(PI()*100*(J30*0.001)^2*I56*I65))</f>
        <v>150.63133117647013</v>
      </c>
      <c r="J64" t="s">
        <v>48</v>
      </c>
    </row>
    <row r="65" spans="2:9" ht="12.75">
      <c r="B65" t="s">
        <v>52</v>
      </c>
      <c r="I65" s="27">
        <v>0.939</v>
      </c>
    </row>
    <row r="66" spans="2:10" ht="12.75">
      <c r="B66" t="s">
        <v>59</v>
      </c>
      <c r="I66" s="9">
        <f>I63*I64</f>
        <v>356.9962548882342</v>
      </c>
      <c r="J66" t="s">
        <v>60</v>
      </c>
    </row>
    <row r="67" spans="2:9" ht="12.75">
      <c r="B67" t="s">
        <v>61</v>
      </c>
      <c r="I67" s="9">
        <f>INT(0.9*I66*1000/I54)</f>
        <v>512</v>
      </c>
    </row>
    <row r="68" spans="2:10" ht="12.75">
      <c r="B68" t="s">
        <v>62</v>
      </c>
      <c r="I68" s="27">
        <f>I67*J7*0.001*I6*150*0.001/2</f>
        <v>70.656</v>
      </c>
      <c r="J68" t="s">
        <v>24</v>
      </c>
    </row>
    <row r="69" spans="2:9" ht="12.75">
      <c r="B69" t="s">
        <v>63</v>
      </c>
      <c r="I69" s="27">
        <f>1500/I68</f>
        <v>21.22961956521739</v>
      </c>
    </row>
    <row r="70" ht="12.75">
      <c r="D70" s="25"/>
    </row>
    <row r="71" ht="12.75">
      <c r="D71" s="7" t="s">
        <v>31</v>
      </c>
    </row>
    <row r="72" ht="12.75">
      <c r="D72" s="8"/>
    </row>
  </sheetData>
  <mergeCells count="2">
    <mergeCell ref="E1:G1"/>
    <mergeCell ref="I1:K1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wuenschw</dc:creator>
  <cp:keywords/>
  <dc:description/>
  <cp:lastModifiedBy>wuenschw</cp:lastModifiedBy>
  <cp:lastPrinted>2005-10-11T13:47:01Z</cp:lastPrinted>
  <dcterms:created xsi:type="dcterms:W3CDTF">2005-09-26T12:12:28Z</dcterms:created>
  <dcterms:modified xsi:type="dcterms:W3CDTF">2005-10-14T14:37:13Z</dcterms:modified>
  <cp:category/>
  <cp:version/>
  <cp:contentType/>
  <cp:contentStatus/>
</cp:coreProperties>
</file>